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phsnm-my.sharepoint.com/personal/sgempesa_phs_org/Documents/Documents/"/>
    </mc:Choice>
  </mc:AlternateContent>
  <xr:revisionPtr revIDLastSave="0" documentId="14_{5D14A192-6611-423B-A017-B4573D39ED2D}" xr6:coauthVersionLast="47" xr6:coauthVersionMax="47" xr10:uidLastSave="{00000000-0000-0000-0000-000000000000}"/>
  <bookViews>
    <workbookView xWindow="3420" yWindow="795" windowWidth="23265" windowHeight="14430" xr2:uid="{8EA8F85E-F6FB-45CE-8390-3C25CE1666B1}"/>
  </bookViews>
  <sheets>
    <sheet name="Report-Publish 2023"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1" l="1"/>
  <c r="I41" i="1"/>
  <c r="L41" i="1" s="1"/>
  <c r="H41" i="1"/>
  <c r="B41" i="1"/>
  <c r="L38" i="1"/>
  <c r="I38" i="1"/>
  <c r="H38" i="1"/>
  <c r="B38" i="1"/>
  <c r="M27" i="1"/>
  <c r="G27" i="1"/>
  <c r="F27" i="1"/>
  <c r="E27" i="1"/>
  <c r="H27" i="1" s="1"/>
  <c r="D27" i="1"/>
  <c r="C27" i="1"/>
  <c r="B27" i="1"/>
  <c r="H22" i="1"/>
  <c r="G22" i="1"/>
  <c r="E22" i="1"/>
  <c r="C22" i="1"/>
  <c r="I22" i="1" s="1"/>
  <c r="B22" i="1"/>
  <c r="H21" i="1"/>
  <c r="F21" i="1"/>
  <c r="C21" i="1"/>
  <c r="B21" i="1"/>
  <c r="I21" i="1" s="1"/>
  <c r="I19" i="1"/>
  <c r="H17" i="1"/>
  <c r="C17" i="1"/>
  <c r="B17" i="1"/>
  <c r="I15" i="1"/>
  <c r="I14" i="1"/>
  <c r="I13" i="1"/>
  <c r="I12" i="1"/>
  <c r="G11" i="1"/>
  <c r="G17" i="1" s="1"/>
  <c r="F11" i="1"/>
  <c r="F17" i="1" s="1"/>
  <c r="F23" i="1" s="1"/>
  <c r="F25" i="1" s="1"/>
  <c r="E11" i="1"/>
  <c r="E17" i="1" s="1"/>
  <c r="E23" i="1" s="1"/>
  <c r="E25" i="1" s="1"/>
  <c r="D11" i="1"/>
  <c r="I11" i="1" s="1"/>
  <c r="I17" i="1" s="1"/>
  <c r="C11" i="1"/>
  <c r="B11" i="1"/>
  <c r="I10" i="1"/>
  <c r="H23" i="1" l="1"/>
  <c r="H25" i="1" s="1"/>
  <c r="I27" i="1"/>
  <c r="B25" i="1"/>
  <c r="G23" i="1"/>
  <c r="G25" i="1" s="1"/>
  <c r="D17" i="1"/>
  <c r="D23" i="1" s="1"/>
  <c r="D25" i="1" s="1"/>
  <c r="B23" i="1"/>
  <c r="I23" i="1" s="1"/>
  <c r="I25" i="1" s="1"/>
  <c r="C23" i="1"/>
  <c r="C25" i="1" s="1"/>
</calcChain>
</file>

<file path=xl/sharedStrings.xml><?xml version="1.0" encoding="utf-8"?>
<sst xmlns="http://schemas.openxmlformats.org/spreadsheetml/2006/main" count="56" uniqueCount="55">
  <si>
    <t>Presbyterian Healthcare Services</t>
  </si>
  <si>
    <t>Report Pursuant to 57-32-8 NMSA 1978</t>
  </si>
  <si>
    <t>For the 2023 Calendar Year</t>
  </si>
  <si>
    <t>PRESBYTERIAN SANTA FE MEDICAL CENTER</t>
  </si>
  <si>
    <t>LINCOLN COUNTY MEDICAL CENTER</t>
  </si>
  <si>
    <t>PLAINS REGIONAL MEDICAL CENTER</t>
  </si>
  <si>
    <t>SOCORRO GENERAL HOSPITAL</t>
  </si>
  <si>
    <t>PRESBYTERIAN ESPANOLA HOSPITAL</t>
  </si>
  <si>
    <t>DR. DAN C. TRIGG MEDICAL CENTER</t>
  </si>
  <si>
    <t>PRESBYTERIAN HOSPITAL</t>
  </si>
  <si>
    <t>TOTALS</t>
  </si>
  <si>
    <t>Analysis of Funds Received &amp; Used Pursuant to 57-32-8(A) NMSA 1978</t>
  </si>
  <si>
    <t>`</t>
  </si>
  <si>
    <t>Notes:</t>
  </si>
  <si>
    <t>Safety Net Care Pool:</t>
  </si>
  <si>
    <t xml:space="preserve"> - HQII</t>
  </si>
  <si>
    <t>HQII Program ended</t>
  </si>
  <si>
    <t xml:space="preserve"> - HAP/TAP</t>
  </si>
  <si>
    <t>Used Annual SNCP 2023 letter from Health Care Authority</t>
  </si>
  <si>
    <t xml:space="preserve"> - Enhanced rate payments</t>
  </si>
  <si>
    <t>Mill Levy Funds</t>
  </si>
  <si>
    <t>Account 50000</t>
  </si>
  <si>
    <t>Gross Receipts Tax Funds</t>
  </si>
  <si>
    <t>Account 50561</t>
  </si>
  <si>
    <t>Indigent funding</t>
  </si>
  <si>
    <t>Mede report</t>
  </si>
  <si>
    <t>Total County Funds Received</t>
  </si>
  <si>
    <t>Indigent Patients Served</t>
  </si>
  <si>
    <t>Financial Assistance, at Cost</t>
  </si>
  <si>
    <t>Subsidized Services, at Cost</t>
  </si>
  <si>
    <t>Use of County Funds to Support HospItal Operations</t>
  </si>
  <si>
    <t>Use of Funds Received</t>
  </si>
  <si>
    <t>Presbyterian Healthcare Services' Capital Investment</t>
  </si>
  <si>
    <t>OUR FACILITIES ALL ADHERE TO A UNIFORM FINANCIAL ASSISTANCE POLICY.  WE PROVIDE HEALTH CARE SERVICES TO PATIENTS WHO ARE INDIGENT AND THOSE NEEDING FINANCIAL ASSISTANCE, INCLUDING</t>
  </si>
  <si>
    <t>INPATIENT AND OUTPATIENT HOSPITAL CARE, SERVICES OF PHYSICIANS AND OTHER CLINICIANS AND OTHER DIAGNOSTIC AND TREATMENT SERVICES.  PURSUANT TO 27-5-6.1(B) NMSA 1978, OUR FACILITIES</t>
  </si>
  <si>
    <t>RECEIVE SAFETY NET CARE POOL FUNDS AND USE SUCH FUNDS FOR 1) INDIGENT PATIENTS, 2) TO SUPPLEMENT OUR FINACIAL ASSISTANCE, AND 3) TO IMPROVE FACILITIES AND ENHANCE PATIENT CARE IN SUCH</t>
  </si>
  <si>
    <t xml:space="preserve">FACILITIES TO ENSURE WE CAN CONTINUE TO PROVIDE QUALITY CARE TO ALL COUNTY RESIDENTS.  MILL LEVY &amp; GROSS RECEIPTS TAX FUNDS, AS AUTHORIZED BY THEIR ENACTING LEGISLATION, ARE USED BOTH </t>
  </si>
  <si>
    <t>FOR PATIENT CARE AND TO IMPROVE OUR FACILITIES IN THE APPLICABLE JURISDICTIONS.  CAPITAL INVESTMENT, AS PROVIDED ABOVE, IS USED TO IMPROVE FACILITIES AND EQUIPMENT IN ORDER TO IMPROVE</t>
  </si>
  <si>
    <t>PATIENT CARE AND ACCESS TO CARE.</t>
  </si>
  <si>
    <t>Analysis of Bad Debt  - Pursuant to 57-32-8 (B)(2) NMSA 1978</t>
  </si>
  <si>
    <t>Bad Debt, at Cost:</t>
  </si>
  <si>
    <t>Estimated Bad Debt for Patients</t>
  </si>
  <si>
    <t>Potentially Eligible for Financial</t>
  </si>
  <si>
    <t>Assistance (See Note Below):</t>
  </si>
  <si>
    <t>REPORTED BAD DEBT IS REDUCED TO ESTIMATED COST BY APPLYING AN APPLICABLE COST TO CHARGE RATIO FOR EACH FACILITY TO PATIENT CHARGES THAT WERE NOT PAID, AND  FOR WHICH FINANCIAL</t>
  </si>
  <si>
    <t xml:space="preserve"> ASSISTANCE WAS NOT SOUGHT OR, IF SOUGHT, NOT AVAILABLE WITHIN OUR FINANCIAL ASSISTANCE POLICY PARAMETERS.  PRESBYTERIAN HEALTHCARE SERVICES (PHS) USES A PRESUMPTIVE FINANCIAL</t>
  </si>
  <si>
    <t>ASSISTANCE SOFTWARE TO DETERMINE SPECIFIC PATIENT ACCOUNTS THAT QUALIFY FOR FINANCIAL ASSISTANCE, ALTHOUGH INITIALLY CLASSIFIED AS BAD DEBT.  AFTER ANALYZING THE</t>
  </si>
  <si>
    <t>RESULTS AGAINST PATIENT CREDIT SCORES FOR ACCCOUNTS RECORDED IN BAD DEBT, APPROXIMATELY 49% OF SUCH ACCOUNT CHARGES WOULD QUALIFY FOR FULL FINANCIAL ASSISTANCE</t>
  </si>
  <si>
    <t>IF THE FINANCIAL ASSISTANCE APPLICATION PROCESS HAD BEEN COMPLETED.  THEREFORE, WE HAVE RECORDED 49% OF THE COST OF BAD DEBT HERE.</t>
  </si>
  <si>
    <t>A</t>
  </si>
  <si>
    <t>Per Sch. H, Part III, Line 2</t>
  </si>
  <si>
    <t>B</t>
  </si>
  <si>
    <t>Per Sch. H, Part III, Line 3</t>
  </si>
  <si>
    <t>C</t>
  </si>
  <si>
    <t>(B /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</si>
</sst>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u/>
      <sz val="11"/>
      <color theme="1"/>
      <name val="Aptos Narrow"/>
      <family val="2"/>
      <scheme val="minor"/>
    </font>
    <font>
      <sz val="11"/>
      <color rgb="FF000000"/>
      <name val="Aptos Narrow"/>
      <family val="2"/>
      <scheme val="minor"/>
    </font>
    <font>
      <sz val="12"/>
      <color rgb="FF000000"/>
      <name val="Aptos Narrow"/>
      <family val="2"/>
      <scheme val="minor"/>
    </font>
    <font>
      <sz val="12"/>
      <color theme="1"/>
      <name val="Aptos Narrow"/>
      <family val="2"/>
      <scheme val="minor"/>
    </font>
    <font>
      <sz val="10"/>
      <color rgb="FF000000"/>
      <name val="CourierNew"/>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0" fontId="3" fillId="0" borderId="0" xfId="0" applyFont="1" applyAlignment="1">
      <alignment horizontal="center"/>
    </xf>
    <xf numFmtId="164" fontId="0" fillId="0" borderId="0" xfId="1" applyNumberFormat="1" applyFont="1"/>
    <xf numFmtId="0" fontId="2" fillId="2" borderId="1" xfId="0" applyFont="1" applyFill="1" applyBorder="1"/>
    <xf numFmtId="164" fontId="2" fillId="2" borderId="1" xfId="1" applyNumberFormat="1" applyFont="1" applyFill="1" applyBorder="1" applyAlignment="1">
      <alignment horizontal="center" wrapText="1"/>
    </xf>
    <xf numFmtId="164" fontId="4" fillId="0" borderId="0" xfId="1" applyNumberFormat="1" applyFont="1" applyAlignment="1">
      <alignment horizontal="center"/>
    </xf>
    <xf numFmtId="0" fontId="4" fillId="3" borderId="0" xfId="0" applyFont="1" applyFill="1"/>
    <xf numFmtId="164" fontId="4" fillId="3" borderId="0" xfId="1" applyNumberFormat="1" applyFont="1" applyFill="1" applyAlignment="1">
      <alignment horizontal="center"/>
    </xf>
    <xf numFmtId="0" fontId="4" fillId="0" borderId="0" xfId="0" applyFont="1"/>
    <xf numFmtId="164" fontId="4" fillId="0" borderId="0" xfId="1" applyNumberFormat="1" applyFont="1" applyFill="1" applyAlignment="1">
      <alignment horizontal="center"/>
    </xf>
    <xf numFmtId="0" fontId="0" fillId="4" borderId="0" xfId="0" applyFill="1"/>
    <xf numFmtId="164" fontId="0" fillId="0" borderId="0" xfId="1" applyNumberFormat="1" applyFont="1" applyFill="1"/>
    <xf numFmtId="0" fontId="0" fillId="0" borderId="0" xfId="0" quotePrefix="1"/>
    <xf numFmtId="0" fontId="2" fillId="0" borderId="0" xfId="0" applyFont="1"/>
    <xf numFmtId="164" fontId="2" fillId="0" borderId="2" xfId="1" applyNumberFormat="1" applyFont="1" applyBorder="1"/>
    <xf numFmtId="164" fontId="2" fillId="0" borderId="0" xfId="1" applyNumberFormat="1" applyFont="1" applyBorder="1"/>
    <xf numFmtId="164" fontId="0" fillId="0" borderId="0" xfId="0" applyNumberFormat="1"/>
    <xf numFmtId="164" fontId="2" fillId="5" borderId="0" xfId="1" applyNumberFormat="1" applyFont="1" applyFill="1" applyBorder="1"/>
    <xf numFmtId="0" fontId="5" fillId="0" borderId="0" xfId="0" applyFont="1" applyAlignment="1">
      <alignment vertical="center"/>
    </xf>
    <xf numFmtId="0" fontId="0" fillId="0" borderId="3" xfId="0" quotePrefix="1" applyBorder="1"/>
    <xf numFmtId="164" fontId="0" fillId="0" borderId="3" xfId="1" applyNumberFormat="1" applyFont="1" applyBorder="1"/>
    <xf numFmtId="0" fontId="6" fillId="0" borderId="0" xfId="0" applyFont="1"/>
    <xf numFmtId="164" fontId="7" fillId="0" borderId="0" xfId="1" applyNumberFormat="1" applyFont="1"/>
    <xf numFmtId="0" fontId="8" fillId="0" borderId="0" xfId="0" applyFont="1"/>
    <xf numFmtId="0" fontId="0" fillId="0" borderId="0" xfId="0" applyAlignment="1">
      <alignment horizontal="right"/>
    </xf>
    <xf numFmtId="165" fontId="0" fillId="0" borderId="0" xfId="2" applyNumberFormat="1" applyFont="1"/>
    <xf numFmtId="0" fontId="4" fillId="0" borderId="0" xfId="0" applyFont="1" applyFill="1"/>
    <xf numFmtId="0" fontId="0" fillId="0" borderId="0" xfId="0" applyFill="1"/>
    <xf numFmtId="0" fontId="6" fillId="0" borderId="0" xfId="0" applyFont="1" applyFill="1"/>
    <xf numFmtId="164" fontId="7" fillId="0" borderId="0" xfId="1" applyNumberFormat="1" applyFont="1" applyFill="1"/>
    <xf numFmtId="0" fontId="2" fillId="0" borderId="1" xfId="0" applyFont="1" applyFill="1" applyBorder="1"/>
    <xf numFmtId="164" fontId="2" fillId="0" borderId="1" xfId="1" applyNumberFormat="1" applyFont="1" applyFill="1" applyBorder="1"/>
    <xf numFmtId="0" fontId="2" fillId="0" borderId="0" xfId="0" applyFont="1" applyFill="1"/>
    <xf numFmtId="164" fontId="2" fillId="0" borderId="2" xfId="1" applyNumberFormat="1" applyFont="1" applyFill="1" applyBorder="1"/>
    <xf numFmtId="0" fontId="0" fillId="0" borderId="1" xfId="0" applyFill="1" applyBorder="1"/>
    <xf numFmtId="164" fontId="0" fillId="0" borderId="1" xfId="1" applyNumberFormat="1"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gempesa\AppData\Local\Microsoft\Windows\INetCache\Content.Outlook\NFDADVPX\NM%20Debt%20Collection%20Act%20Reporting%20-%202023%20Draft%20Three%20Plus%20Craig's%20Updates.xlsx" TargetMode="External"/><Relationship Id="rId1" Type="http://schemas.openxmlformats.org/officeDocument/2006/relationships/externalLinkPath" Target="file:///C:\Users\sgempesa\AppData\Local\Microsoft\Windows\INetCache\Content.Outlook\NFDADVPX\NM%20Debt%20Collection%20Act%20Reporting%20-%202023%20Draft%20Three%20Plus%20Craig's%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 - w_Craig's Updates"/>
      <sheetName val="Report - Publish"/>
      <sheetName val="990Source"/>
      <sheetName val="Sheet1"/>
      <sheetName val="Report"/>
      <sheetName val="Summary"/>
      <sheetName val="HSD Report"/>
    </sheetNames>
    <sheetDataSet>
      <sheetData sheetId="0"/>
      <sheetData sheetId="1"/>
      <sheetData sheetId="2">
        <row r="303">
          <cell r="P303">
            <v>5701507.6700000307</v>
          </cell>
        </row>
        <row r="355">
          <cell r="P355">
            <v>671153.63999999687</v>
          </cell>
        </row>
        <row r="372">
          <cell r="P372">
            <v>5043188.8899999745</v>
          </cell>
        </row>
        <row r="393">
          <cell r="P393">
            <v>533677.22999999742</v>
          </cell>
        </row>
        <row r="412">
          <cell r="P412">
            <v>4182807.2299999758</v>
          </cell>
        </row>
        <row r="431">
          <cell r="P431">
            <v>263712.09999999939</v>
          </cell>
        </row>
      </sheetData>
      <sheetData sheetId="3">
        <row r="11">
          <cell r="U11">
            <v>99119</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2D516-8E80-4743-BCC9-4AE7B183F608}">
  <dimension ref="A1:M64"/>
  <sheetViews>
    <sheetView tabSelected="1" workbookViewId="0">
      <selection activeCell="J23" sqref="J23"/>
    </sheetView>
  </sheetViews>
  <sheetFormatPr defaultRowHeight="15"/>
  <cols>
    <col min="1" max="1" width="50.7109375" customWidth="1"/>
    <col min="2" max="9" width="16.7109375" style="2" customWidth="1"/>
    <col min="10" max="10" width="52.85546875" bestFit="1" customWidth="1"/>
    <col min="11" max="11" width="0" hidden="1" customWidth="1"/>
    <col min="12" max="12" width="11.5703125" hidden="1" customWidth="1"/>
    <col min="13" max="13" width="12.28515625" bestFit="1" customWidth="1"/>
  </cols>
  <sheetData>
    <row r="1" spans="1:10" ht="20.100000000000001" customHeight="1">
      <c r="A1" s="1" t="s">
        <v>0</v>
      </c>
      <c r="B1" s="1"/>
      <c r="C1" s="1"/>
      <c r="D1" s="1"/>
      <c r="E1" s="1"/>
      <c r="F1" s="1"/>
      <c r="G1" s="1"/>
      <c r="H1" s="1"/>
      <c r="I1" s="1"/>
    </row>
    <row r="2" spans="1:10" ht="20.100000000000001" customHeight="1">
      <c r="A2" s="1" t="s">
        <v>1</v>
      </c>
      <c r="B2" s="1"/>
      <c r="C2" s="1"/>
      <c r="D2" s="1"/>
      <c r="E2" s="1"/>
      <c r="F2" s="1"/>
      <c r="G2" s="1"/>
      <c r="H2" s="1"/>
      <c r="I2" s="1"/>
    </row>
    <row r="3" spans="1:10" ht="20.100000000000001" customHeight="1">
      <c r="A3" s="1" t="s">
        <v>2</v>
      </c>
      <c r="B3" s="1"/>
      <c r="C3" s="1"/>
      <c r="D3" s="1"/>
      <c r="E3" s="1"/>
      <c r="F3" s="1"/>
      <c r="G3" s="1"/>
      <c r="H3" s="1"/>
      <c r="I3" s="1"/>
    </row>
    <row r="4" spans="1:10" ht="20.100000000000001" customHeight="1"/>
    <row r="5" spans="1:10" ht="60">
      <c r="A5" s="3"/>
      <c r="B5" s="4" t="s">
        <v>3</v>
      </c>
      <c r="C5" s="4" t="s">
        <v>4</v>
      </c>
      <c r="D5" s="4" t="s">
        <v>5</v>
      </c>
      <c r="E5" s="4" t="s">
        <v>6</v>
      </c>
      <c r="F5" s="4" t="s">
        <v>7</v>
      </c>
      <c r="G5" s="4" t="s">
        <v>8</v>
      </c>
      <c r="H5" s="4" t="s">
        <v>9</v>
      </c>
      <c r="I5" s="4" t="s">
        <v>10</v>
      </c>
    </row>
    <row r="6" spans="1:10" ht="20.100000000000001" customHeight="1">
      <c r="B6" s="5"/>
      <c r="C6" s="5"/>
      <c r="D6" s="5"/>
      <c r="E6" s="5"/>
      <c r="F6" s="5"/>
      <c r="G6" s="5"/>
      <c r="H6" s="5"/>
      <c r="I6" s="5"/>
    </row>
    <row r="7" spans="1:10" ht="20.100000000000001" customHeight="1">
      <c r="A7" s="6" t="s">
        <v>11</v>
      </c>
      <c r="B7" s="7"/>
      <c r="C7" s="7"/>
      <c r="D7" s="5" t="s">
        <v>12</v>
      </c>
      <c r="E7" s="5"/>
      <c r="F7" s="5"/>
      <c r="G7" s="5"/>
      <c r="H7" s="5"/>
      <c r="I7" s="5"/>
    </row>
    <row r="8" spans="1:10" ht="20.100000000000001" customHeight="1">
      <c r="A8" s="8"/>
      <c r="B8" s="9"/>
      <c r="C8" s="9"/>
      <c r="D8" s="5"/>
      <c r="E8" s="5"/>
      <c r="F8" s="5"/>
      <c r="G8" s="5"/>
      <c r="H8" s="5"/>
      <c r="I8" s="5"/>
      <c r="J8" s="10" t="s">
        <v>13</v>
      </c>
    </row>
    <row r="9" spans="1:10" ht="20.100000000000001" customHeight="1">
      <c r="A9" t="s">
        <v>14</v>
      </c>
      <c r="B9" s="11"/>
      <c r="C9" s="11"/>
      <c r="D9" s="11"/>
      <c r="E9" s="11"/>
      <c r="F9" s="11"/>
      <c r="G9" s="11"/>
      <c r="H9" s="11"/>
      <c r="I9" s="11"/>
      <c r="J9" s="10"/>
    </row>
    <row r="10" spans="1:10" ht="20.100000000000001" customHeight="1">
      <c r="A10" s="12" t="s">
        <v>15</v>
      </c>
      <c r="B10" s="11">
        <v>0</v>
      </c>
      <c r="C10" s="11">
        <v>0</v>
      </c>
      <c r="D10" s="11">
        <v>0</v>
      </c>
      <c r="E10" s="11">
        <v>0</v>
      </c>
      <c r="F10" s="11">
        <v>0</v>
      </c>
      <c r="G10" s="11">
        <v>0</v>
      </c>
      <c r="H10" s="11">
        <v>0</v>
      </c>
      <c r="I10" s="11">
        <f t="shared" ref="I10:I13" si="0">SUM(B10:H10)</f>
        <v>0</v>
      </c>
      <c r="J10" s="10" t="s">
        <v>16</v>
      </c>
    </row>
    <row r="11" spans="1:10" ht="20.100000000000001" customHeight="1">
      <c r="A11" s="12" t="s">
        <v>17</v>
      </c>
      <c r="B11" s="11">
        <f>2019767+522445</f>
        <v>2542212</v>
      </c>
      <c r="C11" s="11">
        <f>4773806+1637115</f>
        <v>6410921</v>
      </c>
      <c r="D11" s="11">
        <f>3334544+105784</f>
        <v>3440328</v>
      </c>
      <c r="E11" s="11">
        <f>2777568+207027</f>
        <v>2984595</v>
      </c>
      <c r="F11" s="11">
        <f>2519872+792405</f>
        <v>3312277</v>
      </c>
      <c r="G11" s="11">
        <f>1106792+22629</f>
        <v>1129421</v>
      </c>
      <c r="H11" s="11">
        <v>0</v>
      </c>
      <c r="I11" s="11">
        <f t="shared" si="0"/>
        <v>19819754</v>
      </c>
      <c r="J11" s="10" t="s">
        <v>18</v>
      </c>
    </row>
    <row r="12" spans="1:10" ht="20.100000000000001" customHeight="1">
      <c r="A12" s="12" t="s">
        <v>19</v>
      </c>
      <c r="B12" s="11">
        <v>1179762</v>
      </c>
      <c r="C12" s="11">
        <v>1819593</v>
      </c>
      <c r="D12" s="11">
        <v>3618755</v>
      </c>
      <c r="E12" s="11">
        <v>498794</v>
      </c>
      <c r="F12" s="11">
        <v>3315474</v>
      </c>
      <c r="G12" s="11">
        <v>70503</v>
      </c>
      <c r="H12" s="11">
        <v>0</v>
      </c>
      <c r="I12" s="11">
        <f t="shared" si="0"/>
        <v>10502881</v>
      </c>
      <c r="J12" s="10" t="s">
        <v>18</v>
      </c>
    </row>
    <row r="13" spans="1:10" ht="20.100000000000001" customHeight="1">
      <c r="A13" t="s">
        <v>20</v>
      </c>
      <c r="B13" s="11">
        <v>0</v>
      </c>
      <c r="C13" s="11">
        <v>3395533</v>
      </c>
      <c r="D13" s="11">
        <v>0</v>
      </c>
      <c r="E13" s="11">
        <v>1000000</v>
      </c>
      <c r="F13" s="11">
        <v>4477684</v>
      </c>
      <c r="G13" s="11">
        <v>0</v>
      </c>
      <c r="H13" s="11">
        <v>108288</v>
      </c>
      <c r="I13" s="11">
        <f t="shared" si="0"/>
        <v>8981505</v>
      </c>
      <c r="J13" s="10" t="s">
        <v>21</v>
      </c>
    </row>
    <row r="14" spans="1:10" ht="20.100000000000001" customHeight="1">
      <c r="A14" t="s">
        <v>22</v>
      </c>
      <c r="B14" s="11"/>
      <c r="C14" s="11"/>
      <c r="D14" s="11"/>
      <c r="E14" s="11"/>
      <c r="F14" s="11"/>
      <c r="G14" s="11">
        <v>1000000</v>
      </c>
      <c r="H14" s="11">
        <v>0</v>
      </c>
      <c r="I14" s="11">
        <f>SUM(B14:H14)</f>
        <v>1000000</v>
      </c>
      <c r="J14" s="10" t="s">
        <v>23</v>
      </c>
    </row>
    <row r="15" spans="1:10" ht="20.100000000000001" customHeight="1">
      <c r="A15" t="s">
        <v>24</v>
      </c>
      <c r="B15" s="11"/>
      <c r="C15" s="11">
        <v>1089</v>
      </c>
      <c r="D15" s="11">
        <v>98</v>
      </c>
      <c r="E15" s="11"/>
      <c r="F15" s="11"/>
      <c r="G15" s="11">
        <v>945</v>
      </c>
      <c r="H15" s="11">
        <v>375</v>
      </c>
      <c r="I15" s="11">
        <f>SUM(C15:H15)</f>
        <v>2507</v>
      </c>
      <c r="J15" s="10" t="s">
        <v>25</v>
      </c>
    </row>
    <row r="16" spans="1:10" ht="28.5" customHeight="1"/>
    <row r="17" spans="1:13" ht="15.75" thickBot="1">
      <c r="A17" s="13" t="s">
        <v>26</v>
      </c>
      <c r="B17" s="14">
        <f t="shared" ref="B17:I17" si="1">SUM(B10:B16)</f>
        <v>3721974</v>
      </c>
      <c r="C17" s="14">
        <f t="shared" si="1"/>
        <v>11627136</v>
      </c>
      <c r="D17" s="14">
        <f t="shared" si="1"/>
        <v>7059181</v>
      </c>
      <c r="E17" s="14">
        <f t="shared" si="1"/>
        <v>4483389</v>
      </c>
      <c r="F17" s="14">
        <f t="shared" si="1"/>
        <v>11105435</v>
      </c>
      <c r="G17" s="14">
        <f t="shared" si="1"/>
        <v>2200869</v>
      </c>
      <c r="H17" s="14">
        <f t="shared" si="1"/>
        <v>108663</v>
      </c>
      <c r="I17" s="14">
        <f t="shared" si="1"/>
        <v>40306647</v>
      </c>
    </row>
    <row r="18" spans="1:13" ht="15.75" thickTop="1">
      <c r="A18" s="13"/>
      <c r="B18" s="15"/>
      <c r="C18" s="15"/>
      <c r="D18" s="15"/>
      <c r="E18" s="15"/>
      <c r="F18" s="15"/>
      <c r="G18" s="15"/>
      <c r="H18" s="15"/>
      <c r="I18" s="15"/>
    </row>
    <row r="19" spans="1:13" s="13" customFormat="1" ht="20.100000000000001" customHeight="1">
      <c r="A19" s="30" t="s">
        <v>27</v>
      </c>
      <c r="B19" s="31">
        <v>3111</v>
      </c>
      <c r="C19" s="31">
        <v>2259</v>
      </c>
      <c r="D19" s="31">
        <v>3702</v>
      </c>
      <c r="E19" s="31">
        <v>1383</v>
      </c>
      <c r="F19" s="31">
        <v>3728</v>
      </c>
      <c r="G19" s="31">
        <v>468</v>
      </c>
      <c r="H19" s="31">
        <v>27310</v>
      </c>
      <c r="I19" s="31">
        <f>SUM(B19:H19)</f>
        <v>41961</v>
      </c>
    </row>
    <row r="20" spans="1:13" ht="20.100000000000001" customHeight="1">
      <c r="A20" s="27"/>
      <c r="B20" s="11"/>
      <c r="C20" s="11"/>
      <c r="D20" s="11"/>
      <c r="E20" s="11"/>
      <c r="F20" s="11"/>
      <c r="G20" s="11"/>
      <c r="H20" s="11"/>
      <c r="I20" s="11"/>
    </row>
    <row r="21" spans="1:13" ht="20.100000000000001" customHeight="1">
      <c r="A21" s="27" t="s">
        <v>28</v>
      </c>
      <c r="B21" s="11">
        <f>4250700+146376</f>
        <v>4397076</v>
      </c>
      <c r="C21" s="11">
        <f>2181208+310077</f>
        <v>2491285</v>
      </c>
      <c r="D21" s="11">
        <v>5328649</v>
      </c>
      <c r="E21" s="11">
        <v>1696195</v>
      </c>
      <c r="F21" s="11">
        <f>3728235+411462</f>
        <v>4139697</v>
      </c>
      <c r="G21" s="11">
        <v>1058713</v>
      </c>
      <c r="H21" s="11">
        <f>17182780+6737226+2952848+4159330+12008+63793</f>
        <v>31107985</v>
      </c>
      <c r="I21" s="11">
        <f>SUM(B21:H21)</f>
        <v>50219600</v>
      </c>
    </row>
    <row r="22" spans="1:13" ht="20.100000000000001" customHeight="1">
      <c r="A22" s="27" t="s">
        <v>29</v>
      </c>
      <c r="B22" s="11">
        <f>4131.64+6124.23+3159.92+13634.67</f>
        <v>27050.46</v>
      </c>
      <c r="C22" s="11">
        <f>8812.87+495.66+12201.6+4164.68+271629.37+1029364.72+391546.43+2760.42+98527.81+1708993.52+267020.14</f>
        <v>3795517.22</v>
      </c>
      <c r="D22" s="11">
        <v>0</v>
      </c>
      <c r="E22" s="11">
        <f>2644.17+1080.69+57955.41+2372.83+352614.91+106398.82+606598.43+8899.48+187308.53+17530.15+1193154.64+50200.76+554778.97+256035.7+333673.73+3294.05</f>
        <v>3734541.2699999991</v>
      </c>
      <c r="F22" s="11">
        <v>243217.34</v>
      </c>
      <c r="G22" s="11">
        <f>36350.14+498.56+304466.79+1375.97+87817.9+13326.15+1397962.37+103357.89+143302.97+15796.79+259.36+35.23</f>
        <v>2104550.1199999996</v>
      </c>
      <c r="H22" s="11">
        <f>1517.16+5022.18+2990514.24+5173062.88+2602631.18</f>
        <v>10772747.640000001</v>
      </c>
      <c r="I22" s="11">
        <f>SUM(B22:H22)</f>
        <v>20677624.049999997</v>
      </c>
      <c r="M22" s="16"/>
    </row>
    <row r="23" spans="1:13" ht="20.100000000000001" customHeight="1">
      <c r="A23" s="27" t="s">
        <v>30</v>
      </c>
      <c r="B23" s="11">
        <f t="shared" ref="B23:H23" si="2">IF((+B21+B22)&gt;B17,0,(+B17-B21-B22))</f>
        <v>0</v>
      </c>
      <c r="C23" s="11">
        <f t="shared" si="2"/>
        <v>5340333.7799999993</v>
      </c>
      <c r="D23" s="11">
        <f t="shared" si="2"/>
        <v>1730532</v>
      </c>
      <c r="E23" s="11">
        <f t="shared" si="2"/>
        <v>0</v>
      </c>
      <c r="F23" s="11">
        <f t="shared" si="2"/>
        <v>6722520.6600000001</v>
      </c>
      <c r="G23" s="11">
        <f t="shared" si="2"/>
        <v>0</v>
      </c>
      <c r="H23" s="11">
        <f t="shared" si="2"/>
        <v>0</v>
      </c>
      <c r="I23" s="11">
        <f>SUM(B23:H23)</f>
        <v>13793386.439999999</v>
      </c>
    </row>
    <row r="24" spans="1:13" ht="20.100000000000001" customHeight="1">
      <c r="A24" s="27"/>
      <c r="B24" s="11"/>
      <c r="C24" s="11"/>
      <c r="D24" s="11"/>
      <c r="E24" s="11"/>
      <c r="F24" s="11"/>
      <c r="G24" s="11"/>
      <c r="H24" s="11"/>
      <c r="I24" s="11"/>
    </row>
    <row r="25" spans="1:13" ht="20.100000000000001" customHeight="1" thickBot="1">
      <c r="A25" s="32" t="s">
        <v>31</v>
      </c>
      <c r="B25" s="33">
        <f t="shared" ref="B25:H25" si="3">SUM(B21:B24)</f>
        <v>4424126.46</v>
      </c>
      <c r="C25" s="33">
        <f t="shared" si="3"/>
        <v>11627136</v>
      </c>
      <c r="D25" s="33">
        <f t="shared" si="3"/>
        <v>7059181</v>
      </c>
      <c r="E25" s="33">
        <f t="shared" si="3"/>
        <v>5430736.2699999996</v>
      </c>
      <c r="F25" s="33">
        <f t="shared" si="3"/>
        <v>11105435</v>
      </c>
      <c r="G25" s="33">
        <f t="shared" si="3"/>
        <v>3163263.1199999996</v>
      </c>
      <c r="H25" s="33">
        <f t="shared" si="3"/>
        <v>41880732.640000001</v>
      </c>
      <c r="I25" s="33">
        <f>+I21+I22+I23</f>
        <v>84690610.489999995</v>
      </c>
    </row>
    <row r="26" spans="1:13" ht="20.100000000000001" customHeight="1" thickTop="1">
      <c r="A26" s="27"/>
      <c r="B26" s="11"/>
      <c r="C26" s="11"/>
      <c r="D26" s="11"/>
      <c r="E26" s="11"/>
      <c r="F26" s="11"/>
      <c r="G26" s="11"/>
      <c r="H26" s="11"/>
      <c r="I26" s="11"/>
    </row>
    <row r="27" spans="1:13" ht="20.100000000000001" customHeight="1">
      <c r="A27" s="34" t="s">
        <v>32</v>
      </c>
      <c r="B27" s="35">
        <f>+'[1]990Source'!P303</f>
        <v>5701507.6700000307</v>
      </c>
      <c r="C27" s="35">
        <f>+'[1]990Source'!P355</f>
        <v>671153.63999999687</v>
      </c>
      <c r="D27" s="35">
        <f>+'[1]990Source'!P372</f>
        <v>5043188.8899999745</v>
      </c>
      <c r="E27" s="35">
        <f>+'[1]990Source'!P393</f>
        <v>533677.22999999742</v>
      </c>
      <c r="F27" s="35">
        <f>+'[1]990Source'!P412</f>
        <v>4182807.2299999758</v>
      </c>
      <c r="G27" s="35">
        <f>+'[1]990Source'!P431</f>
        <v>263712.09999999939</v>
      </c>
      <c r="H27" s="35">
        <f>+M27-SUM(B27:G27)</f>
        <v>82722953.240000024</v>
      </c>
      <c r="I27" s="35">
        <f>SUM(B27:H27)</f>
        <v>99119000</v>
      </c>
      <c r="M27" s="17">
        <f>+[1]Sheet1!U11*1000</f>
        <v>99119000</v>
      </c>
    </row>
    <row r="28" spans="1:13" ht="20.100000000000001" customHeight="1"/>
    <row r="29" spans="1:13" ht="20.100000000000001" customHeight="1">
      <c r="A29" t="s">
        <v>33</v>
      </c>
    </row>
    <row r="30" spans="1:13" ht="20.100000000000001" customHeight="1">
      <c r="A30" t="s">
        <v>34</v>
      </c>
    </row>
    <row r="31" spans="1:13" ht="20.100000000000001" customHeight="1">
      <c r="A31" s="18" t="s">
        <v>35</v>
      </c>
    </row>
    <row r="32" spans="1:13" ht="20.100000000000001" customHeight="1">
      <c r="A32" s="18" t="s">
        <v>36</v>
      </c>
    </row>
    <row r="33" spans="1:13" ht="20.100000000000001" customHeight="1">
      <c r="A33" t="s">
        <v>37</v>
      </c>
    </row>
    <row r="34" spans="1:13" ht="20.100000000000001" customHeight="1">
      <c r="A34" t="s">
        <v>38</v>
      </c>
    </row>
    <row r="35" spans="1:13" ht="20.100000000000001" customHeight="1" thickBot="1">
      <c r="A35" s="19"/>
      <c r="B35" s="20"/>
      <c r="C35" s="20"/>
      <c r="D35" s="20"/>
      <c r="E35" s="20"/>
      <c r="F35" s="20"/>
      <c r="G35" s="20"/>
      <c r="H35" s="20"/>
      <c r="I35" s="20"/>
    </row>
    <row r="36" spans="1:13" ht="20.100000000000001" customHeight="1"/>
    <row r="37" spans="1:13" ht="20.100000000000001" customHeight="1">
      <c r="A37" s="26" t="s">
        <v>39</v>
      </c>
      <c r="B37" s="11"/>
      <c r="C37" s="11"/>
      <c r="D37" s="11"/>
      <c r="E37" s="11"/>
      <c r="F37" s="11"/>
      <c r="G37" s="11"/>
      <c r="H37" s="11"/>
      <c r="I37" s="11"/>
    </row>
    <row r="38" spans="1:13" ht="20.100000000000001" customHeight="1">
      <c r="A38" s="27" t="s">
        <v>40</v>
      </c>
      <c r="B38" s="11">
        <f>105445+1985058</f>
        <v>2090503</v>
      </c>
      <c r="C38" s="11">
        <v>1092380</v>
      </c>
      <c r="D38" s="11">
        <v>1349784</v>
      </c>
      <c r="E38" s="11">
        <v>353968</v>
      </c>
      <c r="F38" s="11">
        <v>1021801</v>
      </c>
      <c r="G38" s="11">
        <v>255944</v>
      </c>
      <c r="H38" s="11">
        <f>6711626+3953559+1442808+2150533+544158+15778</f>
        <v>14818462</v>
      </c>
      <c r="I38" s="11">
        <f>SUM(B38:H38)</f>
        <v>20982842</v>
      </c>
      <c r="J38" s="2"/>
      <c r="K38">
        <v>14861217</v>
      </c>
      <c r="L38" s="16">
        <f>+K38-I38</f>
        <v>-6121625</v>
      </c>
      <c r="M38" s="16"/>
    </row>
    <row r="39" spans="1:13" ht="20.100000000000001" customHeight="1">
      <c r="A39" s="27" t="s">
        <v>41</v>
      </c>
      <c r="B39" s="11"/>
      <c r="C39" s="11"/>
      <c r="D39" s="11"/>
      <c r="E39" s="11"/>
      <c r="F39" s="11"/>
      <c r="G39" s="11"/>
      <c r="H39" s="11"/>
      <c r="I39" s="11"/>
    </row>
    <row r="40" spans="1:13" ht="20.100000000000001" customHeight="1">
      <c r="A40" s="27" t="s">
        <v>42</v>
      </c>
      <c r="B40" s="11"/>
      <c r="C40" s="11"/>
      <c r="D40" s="11"/>
      <c r="E40" s="11"/>
      <c r="F40" s="11"/>
      <c r="G40" s="11"/>
      <c r="H40" s="11"/>
      <c r="I40" s="11"/>
    </row>
    <row r="41" spans="1:13" ht="20.100000000000001" customHeight="1">
      <c r="A41" s="27" t="s">
        <v>43</v>
      </c>
      <c r="B41" s="11">
        <f>966922+51362</f>
        <v>1018284</v>
      </c>
      <c r="C41" s="11">
        <v>532098</v>
      </c>
      <c r="D41" s="11">
        <v>657480</v>
      </c>
      <c r="E41" s="11">
        <v>172418</v>
      </c>
      <c r="F41" s="11">
        <v>497719</v>
      </c>
      <c r="G41" s="11">
        <v>124670</v>
      </c>
      <c r="H41" s="11">
        <f>3269233+1925779+702792+1047525+265059+7685</f>
        <v>7218073</v>
      </c>
      <c r="I41" s="11">
        <f>SUM(B41:H41)</f>
        <v>10220742</v>
      </c>
      <c r="K41">
        <v>8187710</v>
      </c>
      <c r="L41" s="16">
        <f>+K41-I41</f>
        <v>-2033032</v>
      </c>
    </row>
    <row r="42" spans="1:13" ht="20.100000000000001" customHeight="1">
      <c r="A42" s="27"/>
      <c r="B42" s="11"/>
      <c r="C42" s="11"/>
      <c r="D42" s="11"/>
      <c r="E42" s="11"/>
      <c r="F42" s="11"/>
      <c r="G42" s="11"/>
      <c r="H42" s="11"/>
      <c r="I42" s="11"/>
    </row>
    <row r="43" spans="1:13" ht="20.100000000000001" customHeight="1">
      <c r="A43" s="27" t="s">
        <v>44</v>
      </c>
      <c r="B43" s="11"/>
      <c r="C43" s="11"/>
      <c r="D43" s="11"/>
      <c r="E43" s="11"/>
      <c r="F43" s="11"/>
      <c r="G43" s="11"/>
      <c r="H43" s="11"/>
      <c r="I43" s="11"/>
    </row>
    <row r="44" spans="1:13" ht="20.100000000000001" customHeight="1">
      <c r="A44" s="27" t="s">
        <v>45</v>
      </c>
      <c r="B44" s="11"/>
      <c r="C44" s="11"/>
      <c r="D44" s="11"/>
      <c r="E44" s="11"/>
      <c r="F44" s="11"/>
      <c r="G44" s="11"/>
      <c r="H44" s="11"/>
      <c r="I44" s="11"/>
    </row>
    <row r="45" spans="1:13" ht="20.100000000000001" customHeight="1">
      <c r="A45" s="28" t="s">
        <v>46</v>
      </c>
      <c r="B45" s="29"/>
      <c r="C45" s="29"/>
      <c r="D45" s="29"/>
      <c r="E45" s="29"/>
      <c r="F45" s="29"/>
      <c r="G45" s="29"/>
      <c r="H45" s="29"/>
      <c r="I45" s="29"/>
    </row>
    <row r="46" spans="1:13" ht="20.100000000000001" customHeight="1">
      <c r="A46" s="28" t="s">
        <v>47</v>
      </c>
      <c r="B46" s="29"/>
      <c r="C46" s="29"/>
      <c r="D46" s="29"/>
      <c r="E46" s="29"/>
      <c r="F46" s="29"/>
      <c r="G46" s="29"/>
      <c r="H46" s="29"/>
      <c r="I46" s="29"/>
    </row>
    <row r="47" spans="1:13" ht="20.100000000000001" customHeight="1">
      <c r="A47" s="28" t="s">
        <v>48</v>
      </c>
      <c r="B47" s="29"/>
      <c r="C47" s="29"/>
      <c r="D47" s="29"/>
      <c r="E47" s="29"/>
      <c r="F47" s="29"/>
      <c r="G47" s="29"/>
      <c r="H47" s="29"/>
      <c r="I47" s="29"/>
    </row>
    <row r="48" spans="1:13" ht="20.100000000000001" customHeight="1">
      <c r="A48" s="21"/>
      <c r="B48" s="22"/>
      <c r="C48" s="22"/>
      <c r="D48" s="22"/>
      <c r="E48" s="22"/>
      <c r="F48" s="22"/>
      <c r="G48" s="22"/>
      <c r="H48" s="22"/>
      <c r="I48" s="22"/>
    </row>
    <row r="49" spans="1:12" ht="20.100000000000001" customHeight="1">
      <c r="A49" s="21"/>
      <c r="B49" s="22"/>
      <c r="C49" s="22"/>
      <c r="D49" s="22"/>
      <c r="E49" s="22"/>
      <c r="F49" s="22"/>
      <c r="G49" s="22"/>
      <c r="H49" s="22"/>
      <c r="I49" s="22"/>
    </row>
    <row r="50" spans="1:12" ht="20.100000000000001" customHeight="1">
      <c r="A50" s="23"/>
    </row>
    <row r="51" spans="1:12">
      <c r="A51" s="12"/>
    </row>
    <row r="52" spans="1:12">
      <c r="A52" s="12"/>
    </row>
    <row r="62" spans="1:12">
      <c r="A62" s="24" t="s">
        <v>49</v>
      </c>
      <c r="B62" s="2">
        <v>18198605</v>
      </c>
      <c r="C62" s="2" t="s">
        <v>50</v>
      </c>
    </row>
    <row r="63" spans="1:12" s="2" customFormat="1">
      <c r="A63" s="24" t="s">
        <v>51</v>
      </c>
      <c r="B63" s="2">
        <v>10185759</v>
      </c>
      <c r="C63" s="2" t="s">
        <v>52</v>
      </c>
      <c r="J63"/>
      <c r="K63"/>
      <c r="L63"/>
    </row>
    <row r="64" spans="1:12" s="2" customFormat="1">
      <c r="A64" s="24" t="s">
        <v>53</v>
      </c>
      <c r="B64" s="25">
        <f>ROUND(+B63/B62,4)</f>
        <v>0.55969999999999998</v>
      </c>
      <c r="C64" s="2" t="s">
        <v>54</v>
      </c>
      <c r="J64"/>
      <c r="K64"/>
      <c r="L64"/>
    </row>
  </sheetData>
  <mergeCells count="3">
    <mergeCell ref="A1:I1"/>
    <mergeCell ref="A2:I2"/>
    <mergeCell ref="A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Report-Publish 2023</vt:lpstr>
    </vt:vector>
  </TitlesOfParts>
  <Company>PHS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Gempesaw, Susan</dc:creator>
  <cp:lastModifiedBy>Gempesaw, Susan</cp:lastModifiedBy>
  <dcterms:created xsi:type="dcterms:W3CDTF">2024-11-25T19:26:11Z</dcterms:created>
  <dcterms:modified xsi:type="dcterms:W3CDTF">2024-11-25T19:29:00Z</dcterms:modified>
</cp:coreProperties>
</file>